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865" windowHeight="3480" activeTab="0"/>
  </bookViews>
  <sheets>
    <sheet name="Vægt og Balance" sheetId="1" r:id="rId1"/>
    <sheet name="Start og landing" sheetId="2" r:id="rId2"/>
  </sheets>
  <definedNames>
    <definedName name="_xlnm.Print_Area" localSheetId="1">'Start og landing'!$A$10:$F$48</definedName>
    <definedName name="_xlnm.Print_Area" localSheetId="0">'Vægt og Balance'!$A$1:$Q$29</definedName>
  </definedNames>
  <calcPr fullCalcOnLoad="1"/>
</workbook>
</file>

<file path=xl/sharedStrings.xml><?xml version="1.0" encoding="utf-8"?>
<sst xmlns="http://schemas.openxmlformats.org/spreadsheetml/2006/main" count="118" uniqueCount="78">
  <si>
    <t>Basic Empty Weight</t>
  </si>
  <si>
    <t>Fuel</t>
  </si>
  <si>
    <t>Aft Baggage</t>
  </si>
  <si>
    <t>Baggage on and aft of wheel well</t>
  </si>
  <si>
    <t>Weight</t>
  </si>
  <si>
    <t>(lbs)</t>
  </si>
  <si>
    <t>Moment</t>
  </si>
  <si>
    <t>(in-lbs/1000)</t>
  </si>
  <si>
    <t>Arm</t>
  </si>
  <si>
    <t>(in)</t>
  </si>
  <si>
    <t>Estimated fuel burn</t>
  </si>
  <si>
    <t>Total Takeoff Weight and Moment</t>
  </si>
  <si>
    <t>Estimated Landing Weight/Moment</t>
  </si>
  <si>
    <t>Item</t>
  </si>
  <si>
    <t>Weight &amp; Balance Calculations</t>
  </si>
  <si>
    <t>gal @ 6 lb/gal</t>
  </si>
  <si>
    <t>Date:</t>
  </si>
  <si>
    <t>Pilot:</t>
  </si>
  <si>
    <t>Pilot</t>
  </si>
  <si>
    <t>Front Passenger</t>
  </si>
  <si>
    <t>Rear Passengers</t>
  </si>
  <si>
    <t>(kgs)</t>
  </si>
  <si>
    <t>ltr</t>
  </si>
  <si>
    <t>US Gal</t>
  </si>
  <si>
    <t>Ltr</t>
  </si>
  <si>
    <t>hours @10 gal/hr</t>
  </si>
  <si>
    <t>MTOW</t>
  </si>
  <si>
    <t>lbs</t>
  </si>
  <si>
    <t>Beregning af start- og landingsdistance</t>
  </si>
  <si>
    <t>Herning Motorflyveklub - www.herningmotorflyveklub.dk</t>
  </si>
  <si>
    <t>1: Udfyld alle hvide felter</t>
  </si>
  <si>
    <t>2: Aflæs start- og/eller landingsdistance</t>
  </si>
  <si>
    <t>3: Print ud og medbring på flyveturen</t>
  </si>
  <si>
    <t>OBS: Undgå at skrive i andre felter end de hvide!</t>
  </si>
  <si>
    <t>STARTDISTANCE</t>
  </si>
  <si>
    <t>Startdistance ifølge flyets håndbog</t>
  </si>
  <si>
    <t>meter</t>
  </si>
  <si>
    <t>Eventuelle korrektioner fra flyets håndbog (vægt m.v)</t>
  </si>
  <si>
    <t>Flyets landingsdistance</t>
  </si>
  <si>
    <t>Korrektion i forhold til vejr &amp; bane</t>
  </si>
  <si>
    <t>Korrektion</t>
  </si>
  <si>
    <t>Pladsens tryk højde</t>
  </si>
  <si>
    <t>fod</t>
  </si>
  <si>
    <t>Temperatur</t>
  </si>
  <si>
    <t>Celsius</t>
  </si>
  <si>
    <t>Banehældning</t>
  </si>
  <si>
    <t>grader</t>
  </si>
  <si>
    <t>Græs tørt 5-10 cm                 Sæt X</t>
  </si>
  <si>
    <t>Græs tørt 10-20 cm               Sæt X</t>
  </si>
  <si>
    <t>Vådt græs                            Sæt X</t>
  </si>
  <si>
    <t>Blød jord / blød sne               Sæt X</t>
  </si>
  <si>
    <t>Sikkerhedsfaktor</t>
  </si>
  <si>
    <t>Egen sikkerhedsfaktor (rusten?)</t>
  </si>
  <si>
    <t>STARTDISTANCE TOTAL</t>
  </si>
  <si>
    <t>LANDINGSDISTANCE</t>
  </si>
  <si>
    <t>Landingsdistance ifølge flyets håndbog</t>
  </si>
  <si>
    <t>Eventuelle korrektioner fra flyets håndbog (vægt m.v.)</t>
  </si>
  <si>
    <t>Græs tørt 5-10 cm                Sæt X</t>
  </si>
  <si>
    <t>Vådt græs                             Sæt X</t>
  </si>
  <si>
    <t>Blød jord / blød sne                Sæt X</t>
  </si>
  <si>
    <t>CONVERTER</t>
  </si>
  <si>
    <t>Indtast</t>
  </si>
  <si>
    <t>Resultat</t>
  </si>
  <si>
    <t>Fod til meter</t>
  </si>
  <si>
    <t>M.</t>
  </si>
  <si>
    <t>Meter til fod</t>
  </si>
  <si>
    <t>Ft.</t>
  </si>
  <si>
    <t>Lbs til kg.</t>
  </si>
  <si>
    <t>Kg.</t>
  </si>
  <si>
    <t>Kg. til lbs</t>
  </si>
  <si>
    <t>Lbs</t>
  </si>
  <si>
    <t>x</t>
  </si>
  <si>
    <t>2000 Cessna 172SP - OY-ELO</t>
  </si>
  <si>
    <t xml:space="preserve">x </t>
  </si>
  <si>
    <t>Peter</t>
  </si>
  <si>
    <t>Ved fuel fyldes enten liter eller US Gal ind i et af de gule felter. Den ikke anvendte enhed</t>
  </si>
  <si>
    <t>indsættes til 0. Derved omregnes automatisk.</t>
  </si>
  <si>
    <t>MTOW 2558 er maks tilladt taxi vægt. Takeoff weight er 2550 lbs.</t>
  </si>
</sst>
</file>

<file path=xl/styles.xml><?xml version="1.0" encoding="utf-8"?>
<styleSheet xmlns="http://schemas.openxmlformats.org/spreadsheetml/2006/main">
  <numFmts count="3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_);_(* \(#,##0.0\);_(* &quot;-&quot;??_);_(@_)"/>
    <numFmt numFmtId="185" formatCode="_(* #,##0.0_);_(* \(#,##0.0\);_(* &quot;-&quot;?_);_(@_)"/>
    <numFmt numFmtId="186" formatCode="_(* #,##0_);_(* \(#,##0\);_(* &quot;-&quot;??_);_(@_)"/>
    <numFmt numFmtId="187" formatCode="0.0"/>
    <numFmt numFmtId="188" formatCode="[$-409]dddd\,\ mmmm\ dd\,\ yyyy"/>
    <numFmt numFmtId="189" formatCode="[$-409]d\-mmm\-yy;@"/>
    <numFmt numFmtId="190" formatCode="&quot;Ja&quot;;&quot;Ja&quot;;&quot;Nej&quot;"/>
    <numFmt numFmtId="191" formatCode="&quot;Sand&quot;;&quot;Sand&quot;;&quot;Falsk&quot;"/>
    <numFmt numFmtId="192" formatCode="&quot;Til&quot;;&quot;Til&quot;;&quot;Fra&quot;"/>
    <numFmt numFmtId="193" formatCode="[$€-2]\ #.##000_);[Red]\([$€-2]\ #.##000\)"/>
    <numFmt numFmtId="194" formatCode="0.0%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8"/>
      <color indexed="56"/>
      <name val="Arial Black"/>
      <family val="2"/>
    </font>
    <font>
      <b/>
      <sz val="10"/>
      <color indexed="44"/>
      <name val="Verdana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9"/>
      <name val="Arial"/>
      <family val="2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b/>
      <sz val="18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3" borderId="2" applyNumberFormat="0" applyAlignment="0" applyProtection="0"/>
    <xf numFmtId="0" fontId="46" fillId="24" borderId="3" applyNumberFormat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83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10" xfId="0" applyBorder="1" applyAlignment="1">
      <alignment/>
    </xf>
    <xf numFmtId="184" fontId="0" fillId="0" borderId="0" xfId="15" applyNumberFormat="1" applyAlignment="1">
      <alignment/>
    </xf>
    <xf numFmtId="184" fontId="4" fillId="0" borderId="0" xfId="15" applyNumberFormat="1" applyFont="1" applyAlignment="1">
      <alignment horizontal="right"/>
    </xf>
    <xf numFmtId="184" fontId="4" fillId="0" borderId="0" xfId="15" applyNumberFormat="1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4" fontId="0" fillId="0" borderId="13" xfId="15" applyNumberForma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18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15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84" fontId="4" fillId="0" borderId="0" xfId="15" applyNumberFormat="1" applyFont="1" applyBorder="1" applyAlignment="1">
      <alignment horizontal="right"/>
    </xf>
    <xf numFmtId="184" fontId="4" fillId="0" borderId="0" xfId="15" applyNumberFormat="1" applyFont="1" applyBorder="1" applyAlignment="1">
      <alignment/>
    </xf>
    <xf numFmtId="186" fontId="0" fillId="0" borderId="0" xfId="15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184" fontId="4" fillId="0" borderId="11" xfId="15" applyNumberFormat="1" applyFont="1" applyBorder="1" applyAlignment="1">
      <alignment horizontal="right"/>
    </xf>
    <xf numFmtId="184" fontId="4" fillId="0" borderId="11" xfId="15" applyNumberFormat="1" applyFont="1" applyBorder="1" applyAlignment="1">
      <alignment/>
    </xf>
    <xf numFmtId="186" fontId="0" fillId="0" borderId="11" xfId="0" applyNumberFormat="1" applyBorder="1" applyAlignment="1">
      <alignment/>
    </xf>
    <xf numFmtId="189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/>
    </xf>
    <xf numFmtId="184" fontId="0" fillId="33" borderId="0" xfId="15" applyNumberFormat="1" applyFill="1" applyBorder="1" applyAlignment="1">
      <alignment/>
    </xf>
    <xf numFmtId="184" fontId="0" fillId="33" borderId="0" xfId="15" applyNumberFormat="1" applyFill="1" applyBorder="1" applyAlignment="1" applyProtection="1">
      <alignment/>
      <protection locked="0"/>
    </xf>
    <xf numFmtId="184" fontId="0" fillId="33" borderId="10" xfId="15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184" fontId="0" fillId="0" borderId="0" xfId="15" applyNumberFormat="1" applyFont="1" applyBorder="1" applyAlignment="1">
      <alignment horizontal="center"/>
    </xf>
    <xf numFmtId="184" fontId="0" fillId="33" borderId="12" xfId="15" applyNumberFormat="1" applyFill="1" applyBorder="1" applyAlignment="1">
      <alignment/>
    </xf>
    <xf numFmtId="184" fontId="0" fillId="33" borderId="13" xfId="15" applyNumberFormat="1" applyFill="1" applyBorder="1" applyAlignment="1">
      <alignment/>
    </xf>
    <xf numFmtId="184" fontId="0" fillId="33" borderId="14" xfId="15" applyNumberFormat="1" applyFont="1" applyFill="1" applyBorder="1" applyAlignment="1">
      <alignment/>
    </xf>
    <xf numFmtId="184" fontId="0" fillId="33" borderId="15" xfId="15" applyNumberFormat="1" applyFill="1" applyBorder="1" applyAlignment="1">
      <alignment/>
    </xf>
    <xf numFmtId="184" fontId="0" fillId="33" borderId="16" xfId="15" applyNumberFormat="1" applyFill="1" applyBorder="1" applyAlignment="1">
      <alignment/>
    </xf>
    <xf numFmtId="184" fontId="0" fillId="33" borderId="17" xfId="15" applyNumberFormat="1" applyFill="1" applyBorder="1" applyAlignment="1">
      <alignment/>
    </xf>
    <xf numFmtId="184" fontId="0" fillId="33" borderId="11" xfId="15" applyNumberFormat="1" applyFill="1" applyBorder="1" applyAlignment="1">
      <alignment/>
    </xf>
    <xf numFmtId="184" fontId="0" fillId="33" borderId="19" xfId="15" applyNumberFormat="1" applyFill="1" applyBorder="1" applyAlignment="1">
      <alignment/>
    </xf>
    <xf numFmtId="184" fontId="0" fillId="33" borderId="14" xfId="15" applyNumberFormat="1" applyFill="1" applyBorder="1" applyAlignment="1">
      <alignment/>
    </xf>
    <xf numFmtId="184" fontId="0" fillId="33" borderId="18" xfId="15" applyNumberFormat="1" applyFill="1" applyBorder="1" applyAlignment="1">
      <alignment/>
    </xf>
    <xf numFmtId="184" fontId="0" fillId="33" borderId="20" xfId="15" applyNumberFormat="1" applyFill="1" applyBorder="1" applyAlignment="1">
      <alignment/>
    </xf>
    <xf numFmtId="0" fontId="0" fillId="34" borderId="21" xfId="0" applyFill="1" applyBorder="1" applyAlignment="1" applyProtection="1">
      <alignment/>
      <protection locked="0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187" fontId="0" fillId="34" borderId="22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11" fillId="36" borderId="12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11" fillId="36" borderId="14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11" fillId="36" borderId="27" xfId="0" applyFont="1" applyFill="1" applyBorder="1" applyAlignment="1">
      <alignment/>
    </xf>
    <xf numFmtId="0" fontId="11" fillId="36" borderId="28" xfId="0" applyFont="1" applyFill="1" applyBorder="1" applyAlignment="1">
      <alignment/>
    </xf>
    <xf numFmtId="0" fontId="11" fillId="36" borderId="29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3" fillId="36" borderId="15" xfId="0" applyFont="1" applyFill="1" applyBorder="1" applyAlignment="1">
      <alignment/>
    </xf>
    <xf numFmtId="0" fontId="13" fillId="35" borderId="22" xfId="0" applyFont="1" applyFill="1" applyBorder="1" applyAlignment="1">
      <alignment/>
    </xf>
    <xf numFmtId="194" fontId="11" fillId="36" borderId="22" xfId="0" applyNumberFormat="1" applyFont="1" applyFill="1" applyBorder="1" applyAlignment="1">
      <alignment/>
    </xf>
    <xf numFmtId="0" fontId="11" fillId="36" borderId="22" xfId="0" applyFont="1" applyFill="1" applyBorder="1" applyAlignment="1">
      <alignment/>
    </xf>
    <xf numFmtId="0" fontId="13" fillId="35" borderId="22" xfId="0" applyFont="1" applyFill="1" applyBorder="1" applyAlignment="1">
      <alignment horizontal="center"/>
    </xf>
    <xf numFmtId="9" fontId="11" fillId="36" borderId="22" xfId="0" applyNumberFormat="1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4" fillId="37" borderId="30" xfId="0" applyFont="1" applyFill="1" applyBorder="1" applyAlignment="1">
      <alignment/>
    </xf>
    <xf numFmtId="0" fontId="14" fillId="37" borderId="31" xfId="0" applyFont="1" applyFill="1" applyBorder="1" applyAlignment="1">
      <alignment/>
    </xf>
    <xf numFmtId="0" fontId="14" fillId="37" borderId="32" xfId="0" applyFont="1" applyFill="1" applyBorder="1" applyAlignment="1">
      <alignment/>
    </xf>
    <xf numFmtId="0" fontId="15" fillId="38" borderId="12" xfId="0" applyFont="1" applyFill="1" applyBorder="1" applyAlignment="1">
      <alignment/>
    </xf>
    <xf numFmtId="0" fontId="15" fillId="38" borderId="13" xfId="0" applyFont="1" applyFill="1" applyBorder="1" applyAlignment="1">
      <alignment/>
    </xf>
    <xf numFmtId="0" fontId="15" fillId="38" borderId="14" xfId="0" applyFont="1" applyFill="1" applyBorder="1" applyAlignment="1">
      <alignment/>
    </xf>
    <xf numFmtId="0" fontId="15" fillId="38" borderId="15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15" fillId="38" borderId="16" xfId="0" applyFont="1" applyFill="1" applyBorder="1" applyAlignment="1">
      <alignment/>
    </xf>
    <xf numFmtId="0" fontId="15" fillId="38" borderId="27" xfId="0" applyFont="1" applyFill="1" applyBorder="1" applyAlignment="1">
      <alignment/>
    </xf>
    <xf numFmtId="0" fontId="15" fillId="38" borderId="28" xfId="0" applyFont="1" applyFill="1" applyBorder="1" applyAlignment="1">
      <alignment/>
    </xf>
    <xf numFmtId="0" fontId="15" fillId="38" borderId="29" xfId="0" applyFont="1" applyFill="1" applyBorder="1" applyAlignment="1">
      <alignment/>
    </xf>
    <xf numFmtId="0" fontId="16" fillId="38" borderId="15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6" fillId="38" borderId="16" xfId="0" applyFont="1" applyFill="1" applyBorder="1" applyAlignment="1">
      <alignment/>
    </xf>
    <xf numFmtId="0" fontId="17" fillId="38" borderId="15" xfId="0" applyFont="1" applyFill="1" applyBorder="1" applyAlignment="1">
      <alignment/>
    </xf>
    <xf numFmtId="194" fontId="15" fillId="38" borderId="22" xfId="0" applyNumberFormat="1" applyFont="1" applyFill="1" applyBorder="1" applyAlignment="1">
      <alignment/>
    </xf>
    <xf numFmtId="0" fontId="15" fillId="38" borderId="22" xfId="0" applyFont="1" applyFill="1" applyBorder="1" applyAlignment="1">
      <alignment/>
    </xf>
    <xf numFmtId="9" fontId="15" fillId="38" borderId="22" xfId="0" applyNumberFormat="1" applyFont="1" applyFill="1" applyBorder="1" applyAlignment="1">
      <alignment/>
    </xf>
    <xf numFmtId="0" fontId="14" fillId="39" borderId="30" xfId="0" applyFont="1" applyFill="1" applyBorder="1" applyAlignment="1">
      <alignment/>
    </xf>
    <xf numFmtId="0" fontId="14" fillId="39" borderId="31" xfId="0" applyFont="1" applyFill="1" applyBorder="1" applyAlignment="1">
      <alignment/>
    </xf>
    <xf numFmtId="0" fontId="14" fillId="39" borderId="32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15" fillId="40" borderId="15" xfId="0" applyFont="1" applyFill="1" applyBorder="1" applyAlignment="1">
      <alignment/>
    </xf>
    <xf numFmtId="0" fontId="0" fillId="35" borderId="22" xfId="0" applyFill="1" applyBorder="1" applyAlignment="1">
      <alignment/>
    </xf>
    <xf numFmtId="0" fontId="19" fillId="40" borderId="0" xfId="0" applyFont="1" applyFill="1" applyBorder="1" applyAlignment="1">
      <alignment/>
    </xf>
    <xf numFmtId="0" fontId="19" fillId="40" borderId="16" xfId="0" applyFont="1" applyFill="1" applyBorder="1" applyAlignment="1">
      <alignment/>
    </xf>
    <xf numFmtId="187" fontId="19" fillId="40" borderId="0" xfId="0" applyNumberFormat="1" applyFont="1" applyFill="1" applyBorder="1" applyAlignment="1">
      <alignment/>
    </xf>
    <xf numFmtId="2" fontId="19" fillId="40" borderId="0" xfId="0" applyNumberFormat="1" applyFont="1" applyFill="1" applyBorder="1" applyAlignment="1">
      <alignment/>
    </xf>
    <xf numFmtId="0" fontId="15" fillId="40" borderId="17" xfId="0" applyFont="1" applyFill="1" applyBorder="1" applyAlignment="1">
      <alignment/>
    </xf>
    <xf numFmtId="2" fontId="19" fillId="40" borderId="11" xfId="0" applyNumberFormat="1" applyFont="1" applyFill="1" applyBorder="1" applyAlignment="1">
      <alignment/>
    </xf>
    <xf numFmtId="0" fontId="19" fillId="40" borderId="19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9" xfId="0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30" xfId="0" applyFill="1" applyBorder="1" applyAlignment="1" applyProtection="1">
      <alignment horizontal="left"/>
      <protection locked="0"/>
    </xf>
    <xf numFmtId="0" fontId="0" fillId="34" borderId="31" xfId="0" applyFill="1" applyBorder="1" applyAlignment="1" applyProtection="1">
      <alignment horizontal="left"/>
      <protection locked="0"/>
    </xf>
    <xf numFmtId="0" fontId="0" fillId="34" borderId="3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8" fillId="41" borderId="12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0" fontId="18" fillId="41" borderId="14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8" fillId="42" borderId="15" xfId="0" applyFont="1" applyFill="1" applyBorder="1" applyAlignment="1">
      <alignment horizontal="center"/>
    </xf>
    <xf numFmtId="0" fontId="8" fillId="42" borderId="0" xfId="0" applyFont="1" applyFill="1" applyBorder="1" applyAlignment="1">
      <alignment horizontal="center"/>
    </xf>
    <xf numFmtId="0" fontId="8" fillId="42" borderId="16" xfId="0" applyFont="1" applyFill="1" applyBorder="1" applyAlignment="1">
      <alignment horizontal="center"/>
    </xf>
    <xf numFmtId="0" fontId="10" fillId="37" borderId="3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0" fontId="10" fillId="37" borderId="32" xfId="0" applyFont="1" applyFill="1" applyBorder="1" applyAlignment="1">
      <alignment horizontal="center"/>
    </xf>
    <xf numFmtId="0" fontId="10" fillId="39" borderId="30" xfId="0" applyFont="1" applyFill="1" applyBorder="1" applyAlignment="1">
      <alignment horizontal="center"/>
    </xf>
    <xf numFmtId="0" fontId="10" fillId="39" borderId="31" xfId="0" applyFont="1" applyFill="1" applyBorder="1" applyAlignment="1">
      <alignment horizontal="center"/>
    </xf>
    <xf numFmtId="0" fontId="10" fillId="39" borderId="32" xfId="0" applyFont="1" applyFill="1" applyBorder="1" applyAlignment="1">
      <alignment horizontal="center"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Hyperlink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7"/>
          <c:w val="0.89975"/>
          <c:h val="0.88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'Vægt og Balance'!$A$90:$A$94</c:f>
              <c:numCache/>
            </c:numRef>
          </c:xVal>
          <c:yVal>
            <c:numRef>
              <c:f>'Vægt og Balance'!$B$90:$B$94</c:f>
              <c:numCache/>
            </c:numRef>
          </c:yVal>
          <c:smooth val="0"/>
        </c:ser>
        <c:ser>
          <c:idx val="3"/>
          <c:order val="1"/>
          <c:tx>
            <c:v>Takeoff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'Vægt og Balance'!$I$19</c:f>
              <c:numCache/>
            </c:numRef>
          </c:xVal>
          <c:yVal>
            <c:numRef>
              <c:f>'Vægt og Balance'!$G$19</c:f>
              <c:numCache/>
            </c:numRef>
          </c:yVal>
          <c:smooth val="0"/>
        </c:ser>
        <c:ser>
          <c:idx val="4"/>
          <c:order val="2"/>
          <c:tx>
            <c:v>Landing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'Vægt og Balance'!$I$24</c:f>
              <c:numCache/>
            </c:numRef>
          </c:xVal>
          <c:yVal>
            <c:numRef>
              <c:f>'Vægt og Balance'!$G$24</c:f>
              <c:numCache/>
            </c:numRef>
          </c:yVal>
          <c:smooth val="0"/>
        </c:ser>
        <c:axId val="41815001"/>
        <c:axId val="40790690"/>
      </c:scatterChart>
      <c:valAx>
        <c:axId val="41815001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Moment (in-lbs/1000)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790690"/>
        <c:crossesAt val="1500"/>
        <c:crossBetween val="midCat"/>
        <c:dispUnits/>
        <c:majorUnit val="10"/>
        <c:minorUnit val="2"/>
      </c:valAx>
      <c:valAx>
        <c:axId val="40790690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Weight (lbs)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815001"/>
        <c:crossesAt val="50"/>
        <c:crossBetween val="midCat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</cdr:x>
      <cdr:y>0.06675</cdr:y>
    </cdr:from>
    <cdr:to>
      <cdr:x>0.627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238125"/>
          <a:ext cx="1419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Maximum Takeoff Wt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</xdr:row>
      <xdr:rowOff>9525</xdr:rowOff>
    </xdr:from>
    <xdr:to>
      <xdr:col>16</xdr:col>
      <xdr:colOff>19050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457825" y="1133475"/>
        <a:ext cx="4267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zoomScalePageLayoutView="0" workbookViewId="0" topLeftCell="A5">
      <selection activeCell="A29" sqref="A29"/>
    </sheetView>
  </sheetViews>
  <sheetFormatPr defaultColWidth="9.140625" defaultRowHeight="12.75"/>
  <cols>
    <col min="2" max="2" width="9.28125" style="0" bestFit="1" customWidth="1"/>
    <col min="3" max="3" width="9.28125" style="0" customWidth="1"/>
    <col min="4" max="5" width="5.7109375" style="0" customWidth="1"/>
    <col min="7" max="7" width="11.8515625" style="0" bestFit="1" customWidth="1"/>
    <col min="8" max="8" width="9.421875" style="4" bestFit="1" customWidth="1"/>
    <col min="9" max="9" width="10.421875" style="0" bestFit="1" customWidth="1"/>
    <col min="16" max="16" width="10.7109375" style="0" customWidth="1"/>
    <col min="17" max="17" width="2.421875" style="0" customWidth="1"/>
  </cols>
  <sheetData>
    <row r="1" spans="1:17" ht="12.75">
      <c r="A1" s="10"/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  <c r="Q1" s="13"/>
    </row>
    <row r="2" spans="1:17" ht="15.75">
      <c r="A2" s="134" t="s">
        <v>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24"/>
    </row>
    <row r="3" spans="1:17" ht="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4"/>
    </row>
    <row r="4" spans="1:17" ht="18">
      <c r="A4" s="136" t="s">
        <v>72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24"/>
    </row>
    <row r="5" spans="1:17" ht="13.5" thickBot="1">
      <c r="A5" s="16"/>
      <c r="B5" s="17"/>
      <c r="C5" s="17"/>
      <c r="D5" s="17"/>
      <c r="E5" s="17"/>
      <c r="F5" s="17"/>
      <c r="G5" s="17"/>
      <c r="H5" s="18"/>
      <c r="I5" s="19"/>
      <c r="J5" s="17"/>
      <c r="K5" s="17"/>
      <c r="L5" s="17"/>
      <c r="M5" s="17"/>
      <c r="N5" s="17"/>
      <c r="O5" s="20"/>
      <c r="P5" s="39"/>
      <c r="Q5" s="24"/>
    </row>
    <row r="6" spans="1:17" ht="13.5" thickBot="1">
      <c r="A6" s="21" t="s">
        <v>17</v>
      </c>
      <c r="B6" s="138" t="s">
        <v>74</v>
      </c>
      <c r="C6" s="139"/>
      <c r="D6" s="140"/>
      <c r="E6" s="22"/>
      <c r="F6" s="23"/>
      <c r="G6" s="141"/>
      <c r="H6" s="141"/>
      <c r="I6" s="20"/>
      <c r="J6" s="17"/>
      <c r="K6" s="17"/>
      <c r="L6" s="17"/>
      <c r="M6" s="17"/>
      <c r="N6" s="17"/>
      <c r="O6" s="20" t="s">
        <v>16</v>
      </c>
      <c r="P6" s="39">
        <f ca="1">NOW()</f>
        <v>39607.90677627315</v>
      </c>
      <c r="Q6" s="24"/>
    </row>
    <row r="7" spans="1:17" ht="12.75">
      <c r="A7" s="16"/>
      <c r="B7" s="17"/>
      <c r="C7" s="17"/>
      <c r="D7" s="17"/>
      <c r="E7" s="17"/>
      <c r="F7" s="17"/>
      <c r="G7" s="17"/>
      <c r="H7" s="18"/>
      <c r="I7" s="17"/>
      <c r="J7" s="17"/>
      <c r="K7" s="17"/>
      <c r="L7" s="17"/>
      <c r="M7" s="17"/>
      <c r="N7" s="17"/>
      <c r="O7" s="17"/>
      <c r="P7" s="17"/>
      <c r="Q7" s="24"/>
    </row>
    <row r="8" spans="1:17" ht="12.75">
      <c r="A8" s="16"/>
      <c r="B8" s="17"/>
      <c r="C8" s="17"/>
      <c r="D8" s="17"/>
      <c r="E8" s="17"/>
      <c r="F8" s="17"/>
      <c r="G8" s="17"/>
      <c r="H8" s="18"/>
      <c r="I8" s="17"/>
      <c r="J8" s="17"/>
      <c r="K8" s="17"/>
      <c r="L8" s="17"/>
      <c r="M8" s="17"/>
      <c r="N8" s="17"/>
      <c r="O8" s="17"/>
      <c r="P8" s="17"/>
      <c r="Q8" s="24"/>
    </row>
    <row r="9" spans="1:17" ht="12.75">
      <c r="A9" s="16"/>
      <c r="B9" s="19"/>
      <c r="C9" s="19"/>
      <c r="D9" s="19"/>
      <c r="E9" s="19"/>
      <c r="F9" s="19" t="s">
        <v>4</v>
      </c>
      <c r="G9" s="25" t="s">
        <v>4</v>
      </c>
      <c r="H9" s="26" t="s">
        <v>8</v>
      </c>
      <c r="I9" s="25" t="s">
        <v>6</v>
      </c>
      <c r="J9" s="17"/>
      <c r="K9" s="17"/>
      <c r="L9" s="17"/>
      <c r="M9" s="17"/>
      <c r="N9" s="17"/>
      <c r="O9" s="17"/>
      <c r="P9" s="17"/>
      <c r="Q9" s="24"/>
    </row>
    <row r="10" spans="1:17" ht="13.5" thickBot="1">
      <c r="A10" s="27" t="s">
        <v>13</v>
      </c>
      <c r="B10" s="8"/>
      <c r="C10" s="8"/>
      <c r="D10" s="8"/>
      <c r="E10" s="8"/>
      <c r="F10" s="9" t="s">
        <v>21</v>
      </c>
      <c r="G10" s="46" t="s">
        <v>5</v>
      </c>
      <c r="H10" s="47" t="s">
        <v>9</v>
      </c>
      <c r="I10" s="46" t="s">
        <v>7</v>
      </c>
      <c r="J10" s="17"/>
      <c r="K10" s="17"/>
      <c r="L10" s="17"/>
      <c r="M10" s="17"/>
      <c r="N10" s="17"/>
      <c r="O10" s="17"/>
      <c r="P10" s="17"/>
      <c r="Q10" s="24"/>
    </row>
    <row r="11" spans="1:17" ht="12.75">
      <c r="A11" s="28" t="s">
        <v>0</v>
      </c>
      <c r="B11" s="17"/>
      <c r="C11" s="17"/>
      <c r="D11" s="62"/>
      <c r="E11" s="17"/>
      <c r="F11" s="17"/>
      <c r="G11" s="48">
        <f>762/A55</f>
        <v>1679.9223267409243</v>
      </c>
      <c r="H11" s="49">
        <v>40.51</v>
      </c>
      <c r="I11" s="50">
        <f>H11*G11/1000</f>
        <v>68.05365345627484</v>
      </c>
      <c r="J11" s="17"/>
      <c r="K11" s="17"/>
      <c r="L11" s="17"/>
      <c r="M11" s="17"/>
      <c r="N11" s="17"/>
      <c r="O11" s="17"/>
      <c r="P11" s="17"/>
      <c r="Q11" s="24"/>
    </row>
    <row r="12" spans="1:17" ht="12.75">
      <c r="A12" s="28" t="s">
        <v>1</v>
      </c>
      <c r="B12" s="59">
        <v>0</v>
      </c>
      <c r="C12" s="64" t="s">
        <v>23</v>
      </c>
      <c r="D12" s="63">
        <f>IF(OR(B12="",B12=0),B13/3.785,B12)</f>
        <v>34.61030383091149</v>
      </c>
      <c r="E12" s="17" t="s">
        <v>15</v>
      </c>
      <c r="F12" s="17"/>
      <c r="G12" s="51">
        <f>+D12*6</f>
        <v>207.66182298546894</v>
      </c>
      <c r="H12" s="43">
        <v>47.77777777777778</v>
      </c>
      <c r="I12" s="52">
        <f>+H12*G12/1000</f>
        <v>9.92162043152796</v>
      </c>
      <c r="J12" s="17"/>
      <c r="K12" s="17"/>
      <c r="L12" s="17"/>
      <c r="M12" s="17"/>
      <c r="N12" s="17"/>
      <c r="O12" s="17"/>
      <c r="P12" s="17"/>
      <c r="Q12" s="24"/>
    </row>
    <row r="13" spans="1:17" ht="12.75">
      <c r="A13" s="28"/>
      <c r="B13" s="60">
        <v>131</v>
      </c>
      <c r="C13" s="17" t="s">
        <v>24</v>
      </c>
      <c r="D13" s="65">
        <f>D12*3.785</f>
        <v>131</v>
      </c>
      <c r="E13" s="17" t="s">
        <v>22</v>
      </c>
      <c r="F13" s="17"/>
      <c r="G13" s="51"/>
      <c r="H13" s="43"/>
      <c r="I13" s="52"/>
      <c r="J13" s="17"/>
      <c r="K13" s="17"/>
      <c r="L13" s="17"/>
      <c r="M13" s="17"/>
      <c r="N13" s="17"/>
      <c r="O13" s="17"/>
      <c r="P13" s="17"/>
      <c r="Q13" s="24"/>
    </row>
    <row r="14" spans="1:17" ht="12.75">
      <c r="A14" s="28" t="s">
        <v>18</v>
      </c>
      <c r="B14" s="17"/>
      <c r="C14" s="17"/>
      <c r="D14" s="17"/>
      <c r="E14" s="17"/>
      <c r="F14" s="61">
        <v>90</v>
      </c>
      <c r="G14" s="44">
        <f>F14/$A$55</f>
        <v>198.41602284341624</v>
      </c>
      <c r="H14" s="43">
        <v>37</v>
      </c>
      <c r="I14" s="52">
        <f>+H14*G14/1000</f>
        <v>7.341392845206401</v>
      </c>
      <c r="J14" s="17"/>
      <c r="K14" s="17"/>
      <c r="L14" s="17"/>
      <c r="M14" s="17"/>
      <c r="N14" s="17"/>
      <c r="O14" s="17"/>
      <c r="P14" s="17"/>
      <c r="Q14" s="24"/>
    </row>
    <row r="15" spans="1:17" ht="12.75">
      <c r="A15" s="28" t="s">
        <v>19</v>
      </c>
      <c r="B15" s="17"/>
      <c r="C15" s="17"/>
      <c r="D15" s="17"/>
      <c r="E15" s="17"/>
      <c r="F15" s="61">
        <v>90</v>
      </c>
      <c r="G15" s="44">
        <f>F15/$A$55</f>
        <v>198.41602284341624</v>
      </c>
      <c r="H15" s="43">
        <v>37</v>
      </c>
      <c r="I15" s="52">
        <f>+H15*G15/1000</f>
        <v>7.341392845206401</v>
      </c>
      <c r="J15" s="17"/>
      <c r="K15" s="17"/>
      <c r="L15" s="17"/>
      <c r="M15" s="17"/>
      <c r="N15" s="17"/>
      <c r="O15" s="17"/>
      <c r="P15" s="17"/>
      <c r="Q15" s="24"/>
    </row>
    <row r="16" spans="1:17" ht="12.75">
      <c r="A16" s="28" t="s">
        <v>20</v>
      </c>
      <c r="B16" s="17"/>
      <c r="C16" s="17"/>
      <c r="D16" s="17"/>
      <c r="E16" s="17"/>
      <c r="F16" s="61">
        <v>90</v>
      </c>
      <c r="G16" s="44">
        <f>F16/$A$55</f>
        <v>198.41602284341624</v>
      </c>
      <c r="H16" s="43">
        <v>73</v>
      </c>
      <c r="I16" s="52">
        <f>+H16*G16/1000</f>
        <v>14.484369667569386</v>
      </c>
      <c r="J16" s="17"/>
      <c r="K16" s="17"/>
      <c r="L16" s="17"/>
      <c r="M16" s="17"/>
      <c r="N16" s="17"/>
      <c r="O16" s="17"/>
      <c r="P16" s="17"/>
      <c r="Q16" s="24"/>
    </row>
    <row r="17" spans="1:17" ht="12.75">
      <c r="A17" s="28" t="s">
        <v>2</v>
      </c>
      <c r="B17" s="17"/>
      <c r="C17" s="17"/>
      <c r="D17" s="17"/>
      <c r="E17" s="17"/>
      <c r="F17" s="61">
        <v>0</v>
      </c>
      <c r="G17" s="44">
        <f>F17/$A$55</f>
        <v>0</v>
      </c>
      <c r="H17" s="43">
        <v>95</v>
      </c>
      <c r="I17" s="52">
        <f>+H17*G17/1000</f>
        <v>0</v>
      </c>
      <c r="J17" s="17"/>
      <c r="K17" s="17"/>
      <c r="L17" s="17"/>
      <c r="M17" s="17"/>
      <c r="N17" s="17"/>
      <c r="O17" s="17"/>
      <c r="P17" s="17"/>
      <c r="Q17" s="24"/>
    </row>
    <row r="18" spans="1:17" ht="12.75">
      <c r="A18" s="28" t="s">
        <v>3</v>
      </c>
      <c r="B18" s="17"/>
      <c r="C18" s="17"/>
      <c r="D18" s="17"/>
      <c r="E18" s="17"/>
      <c r="F18" s="61">
        <v>0</v>
      </c>
      <c r="G18" s="44">
        <f>F18/$A$55</f>
        <v>0</v>
      </c>
      <c r="H18" s="43">
        <v>123</v>
      </c>
      <c r="I18" s="52">
        <f>+H18*G18/1000</f>
        <v>0</v>
      </c>
      <c r="J18" s="17"/>
      <c r="K18" s="17"/>
      <c r="L18" s="17"/>
      <c r="M18" s="17"/>
      <c r="N18" s="17"/>
      <c r="O18" s="17"/>
      <c r="P18" s="17"/>
      <c r="Q18" s="24"/>
    </row>
    <row r="19" spans="1:17" ht="13.5" thickBot="1">
      <c r="A19" s="29" t="s">
        <v>11</v>
      </c>
      <c r="B19" s="3"/>
      <c r="C19" s="3"/>
      <c r="D19" s="3"/>
      <c r="E19" s="3"/>
      <c r="F19" s="3"/>
      <c r="G19" s="57">
        <f>SUM(G11:G18)</f>
        <v>2482.8322182566417</v>
      </c>
      <c r="H19" s="45">
        <f>+I19/G19*1000</f>
        <v>43.153310343707666</v>
      </c>
      <c r="I19" s="58">
        <f>SUM(I11:I18)</f>
        <v>107.14242924578498</v>
      </c>
      <c r="J19" s="17"/>
      <c r="K19" s="17"/>
      <c r="L19" s="17"/>
      <c r="M19" s="17"/>
      <c r="N19" s="17"/>
      <c r="O19" s="17"/>
      <c r="P19" s="17"/>
      <c r="Q19" s="24"/>
    </row>
    <row r="20" spans="1:17" ht="14.25" thickBot="1" thickTop="1">
      <c r="A20" s="28" t="s">
        <v>26</v>
      </c>
      <c r="B20" s="17">
        <v>2558</v>
      </c>
      <c r="C20" s="17" t="s">
        <v>27</v>
      </c>
      <c r="D20" s="17"/>
      <c r="E20" s="17"/>
      <c r="F20" s="30" t="str">
        <f>IF(G19&gt;2550,"OVERWEIGHT!"," ")</f>
        <v> </v>
      </c>
      <c r="G20" s="31" t="str">
        <f>IF(F20&lt;&gt;" ",G19-2550," ")</f>
        <v> </v>
      </c>
      <c r="H20" s="31" t="str">
        <f>IF(F20&lt;&gt;" ","pounds"," ")</f>
        <v> </v>
      </c>
      <c r="I20" s="18"/>
      <c r="J20" s="17"/>
      <c r="K20" s="17"/>
      <c r="L20" s="17"/>
      <c r="M20" s="17"/>
      <c r="N20" s="17"/>
      <c r="O20" s="17"/>
      <c r="P20" s="17"/>
      <c r="Q20" s="24"/>
    </row>
    <row r="21" spans="1:17" ht="12.75">
      <c r="A21" s="28" t="s">
        <v>10</v>
      </c>
      <c r="B21" s="17"/>
      <c r="C21" s="17"/>
      <c r="D21" s="66">
        <v>2</v>
      </c>
      <c r="E21" s="17" t="s">
        <v>25</v>
      </c>
      <c r="F21" s="17"/>
      <c r="G21" s="48"/>
      <c r="H21" s="49"/>
      <c r="I21" s="56"/>
      <c r="J21" s="17"/>
      <c r="K21" s="17"/>
      <c r="L21" s="17"/>
      <c r="M21" s="17"/>
      <c r="N21" s="17"/>
      <c r="O21" s="17"/>
      <c r="P21" s="17"/>
      <c r="Q21" s="24"/>
    </row>
    <row r="22" spans="1:17" ht="13.5" thickBot="1">
      <c r="A22" s="28"/>
      <c r="B22" s="17"/>
      <c r="C22" s="17"/>
      <c r="D22" s="65">
        <f>+D21*10</f>
        <v>20</v>
      </c>
      <c r="E22" s="17" t="s">
        <v>15</v>
      </c>
      <c r="F22" s="17"/>
      <c r="G22" s="53">
        <f>+D22*6</f>
        <v>120</v>
      </c>
      <c r="H22" s="54">
        <f>+H12</f>
        <v>47.77777777777778</v>
      </c>
      <c r="I22" s="55">
        <f>+H22*G22/1000</f>
        <v>5.733333333333333</v>
      </c>
      <c r="J22" s="17"/>
      <c r="K22" s="17"/>
      <c r="L22" s="17"/>
      <c r="M22" s="17"/>
      <c r="N22" s="17"/>
      <c r="O22" s="17"/>
      <c r="P22" s="17"/>
      <c r="Q22" s="24"/>
    </row>
    <row r="23" spans="1:17" ht="12.75">
      <c r="A23" s="28"/>
      <c r="B23" s="17"/>
      <c r="C23" s="17"/>
      <c r="D23" s="17"/>
      <c r="E23" s="17"/>
      <c r="F23" s="17"/>
      <c r="G23" s="18"/>
      <c r="H23" s="18"/>
      <c r="I23" s="32"/>
      <c r="J23" s="17"/>
      <c r="K23" s="17"/>
      <c r="L23" s="17"/>
      <c r="M23" s="17"/>
      <c r="N23" s="17"/>
      <c r="O23" s="17"/>
      <c r="P23" s="17"/>
      <c r="Q23" s="24"/>
    </row>
    <row r="24" spans="1:17" ht="13.5" thickBot="1">
      <c r="A24" s="29" t="s">
        <v>12</v>
      </c>
      <c r="B24" s="3"/>
      <c r="C24" s="3"/>
      <c r="D24" s="3"/>
      <c r="E24" s="3"/>
      <c r="F24" s="3"/>
      <c r="G24" s="57">
        <f>+G19-G22</f>
        <v>2362.8322182566417</v>
      </c>
      <c r="H24" s="45">
        <f>+I24/G24*1000</f>
        <v>42.91844978619509</v>
      </c>
      <c r="I24" s="58">
        <f>+I19-I22</f>
        <v>101.40909591245165</v>
      </c>
      <c r="J24" s="17"/>
      <c r="K24" s="17"/>
      <c r="L24" s="17"/>
      <c r="M24" s="17"/>
      <c r="N24" s="17"/>
      <c r="O24" s="17"/>
      <c r="P24" s="17"/>
      <c r="Q24" s="24"/>
    </row>
    <row r="25" spans="1:17" ht="13.5" thickTop="1">
      <c r="A25" s="28"/>
      <c r="B25" s="17"/>
      <c r="C25" s="17"/>
      <c r="D25" s="17"/>
      <c r="E25" s="17"/>
      <c r="F25" s="30" t="str">
        <f>IF(G24&gt;2550,"OVERWEIGHT!"," ")</f>
        <v> </v>
      </c>
      <c r="G25" s="31" t="str">
        <f>IF(F25&lt;&gt;" ",G24-2550," ")</f>
        <v> </v>
      </c>
      <c r="H25" s="31" t="str">
        <f>IF(F25&lt;&gt;" ","pounds"," ")</f>
        <v> </v>
      </c>
      <c r="I25" s="33"/>
      <c r="J25" s="17"/>
      <c r="K25" s="17"/>
      <c r="L25" s="17"/>
      <c r="M25" s="17"/>
      <c r="N25" s="17"/>
      <c r="O25" s="17"/>
      <c r="P25" s="17"/>
      <c r="Q25" s="24"/>
    </row>
    <row r="26" spans="1:17" ht="12.75">
      <c r="A26" s="28"/>
      <c r="B26" s="17"/>
      <c r="C26" s="17"/>
      <c r="D26" s="17"/>
      <c r="E26" s="17"/>
      <c r="F26" s="30"/>
      <c r="G26" s="31"/>
      <c r="H26" s="31"/>
      <c r="I26" s="33"/>
      <c r="J26" s="17"/>
      <c r="K26" s="17"/>
      <c r="L26" s="17"/>
      <c r="M26" s="17"/>
      <c r="N26" s="17"/>
      <c r="O26" s="17"/>
      <c r="P26" s="40"/>
      <c r="Q26" s="24"/>
    </row>
    <row r="27" spans="1:17" ht="12.75">
      <c r="A27" s="28" t="s">
        <v>75</v>
      </c>
      <c r="B27" s="17"/>
      <c r="C27" s="17"/>
      <c r="D27" s="17"/>
      <c r="E27" s="17"/>
      <c r="F27" s="30"/>
      <c r="G27" s="31"/>
      <c r="H27" s="31"/>
      <c r="I27" s="33"/>
      <c r="J27" s="17"/>
      <c r="K27" s="17"/>
      <c r="L27" s="17"/>
      <c r="M27" s="17"/>
      <c r="N27" s="17"/>
      <c r="O27" s="17"/>
      <c r="P27" s="40"/>
      <c r="Q27" s="24"/>
    </row>
    <row r="28" spans="1:17" ht="12.75">
      <c r="A28" s="28" t="s">
        <v>76</v>
      </c>
      <c r="B28" s="17"/>
      <c r="C28" s="17"/>
      <c r="D28" s="17"/>
      <c r="E28" s="17"/>
      <c r="F28" s="30"/>
      <c r="G28" s="31"/>
      <c r="H28" s="31"/>
      <c r="I28" s="33"/>
      <c r="J28" s="17"/>
      <c r="K28" s="17"/>
      <c r="L28" s="17"/>
      <c r="M28" s="17"/>
      <c r="N28" s="17"/>
      <c r="O28" s="17"/>
      <c r="P28" s="40"/>
      <c r="Q28" s="24"/>
    </row>
    <row r="29" spans="1:17" ht="13.5" thickBot="1">
      <c r="A29" s="34" t="s">
        <v>77</v>
      </c>
      <c r="B29" s="35"/>
      <c r="C29" s="35"/>
      <c r="D29" s="35"/>
      <c r="E29" s="35"/>
      <c r="F29" s="36"/>
      <c r="G29" s="37"/>
      <c r="H29" s="37"/>
      <c r="I29" s="38"/>
      <c r="J29" s="35"/>
      <c r="K29" s="35"/>
      <c r="L29" s="35"/>
      <c r="M29" s="35"/>
      <c r="N29" s="35"/>
      <c r="O29" s="35"/>
      <c r="P29" s="41"/>
      <c r="Q29" s="42"/>
    </row>
    <row r="30" spans="6:16" ht="12.75">
      <c r="F30" s="5"/>
      <c r="G30" s="6"/>
      <c r="H30" s="6"/>
      <c r="I30" s="2"/>
      <c r="P30" s="7"/>
    </row>
    <row r="31" spans="6:16" ht="12.75">
      <c r="F31" s="5"/>
      <c r="G31" s="6"/>
      <c r="H31" s="6"/>
      <c r="I31" s="2"/>
      <c r="P31" s="7"/>
    </row>
    <row r="32" spans="6:16" ht="12.75">
      <c r="F32" s="5"/>
      <c r="G32" s="6"/>
      <c r="H32" s="6"/>
      <c r="I32" s="2"/>
      <c r="P32" s="7"/>
    </row>
    <row r="33" spans="6:16" ht="12.75">
      <c r="F33" s="5"/>
      <c r="G33" s="6"/>
      <c r="H33" s="6"/>
      <c r="I33" s="2"/>
      <c r="P33" s="7"/>
    </row>
    <row r="34" spans="6:16" ht="12.75">
      <c r="F34" s="5"/>
      <c r="G34" s="6"/>
      <c r="H34" s="6"/>
      <c r="I34" s="2"/>
      <c r="P34" s="7"/>
    </row>
    <row r="35" spans="6:16" ht="12.75">
      <c r="F35" s="5"/>
      <c r="G35" s="6"/>
      <c r="H35" s="6"/>
      <c r="I35" s="2"/>
      <c r="P35" s="7"/>
    </row>
    <row r="36" spans="6:16" ht="12.75">
      <c r="F36" s="5"/>
      <c r="G36" s="6"/>
      <c r="H36" s="6"/>
      <c r="I36" s="2"/>
      <c r="P36" s="7"/>
    </row>
    <row r="37" spans="6:16" ht="12.75">
      <c r="F37" s="5"/>
      <c r="G37" s="6"/>
      <c r="H37" s="6"/>
      <c r="I37" s="2"/>
      <c r="P37" s="7"/>
    </row>
    <row r="38" spans="6:16" ht="12.75">
      <c r="F38" s="5"/>
      <c r="G38" s="6"/>
      <c r="H38" s="6"/>
      <c r="I38" s="2"/>
      <c r="P38" s="7"/>
    </row>
    <row r="39" spans="6:16" ht="12.75">
      <c r="F39" s="5"/>
      <c r="G39" s="6"/>
      <c r="H39" s="6"/>
      <c r="I39" s="2"/>
      <c r="P39" s="7"/>
    </row>
    <row r="40" spans="6:16" ht="12.75">
      <c r="F40" s="5"/>
      <c r="G40" s="6"/>
      <c r="H40" s="6"/>
      <c r="I40" s="2"/>
      <c r="P40" s="7"/>
    </row>
    <row r="41" spans="6:16" ht="12.75">
      <c r="F41" s="5"/>
      <c r="G41" s="6"/>
      <c r="H41" s="6"/>
      <c r="I41" s="2"/>
      <c r="P41" s="7"/>
    </row>
    <row r="42" spans="6:16" ht="12.75">
      <c r="F42" s="5"/>
      <c r="G42" s="6"/>
      <c r="H42" s="6"/>
      <c r="I42" s="2"/>
      <c r="P42" s="7"/>
    </row>
    <row r="43" spans="6:16" ht="12.75">
      <c r="F43" s="5"/>
      <c r="G43" s="6"/>
      <c r="H43" s="6"/>
      <c r="I43" s="2"/>
      <c r="P43" s="7"/>
    </row>
    <row r="44" spans="6:16" ht="12.75">
      <c r="F44" s="5"/>
      <c r="G44" s="6"/>
      <c r="H44" s="6"/>
      <c r="I44" s="2"/>
      <c r="P44" s="7"/>
    </row>
    <row r="45" spans="6:16" ht="12.75">
      <c r="F45" s="5"/>
      <c r="G45" s="6"/>
      <c r="H45" s="6"/>
      <c r="I45" s="2"/>
      <c r="P45" s="7"/>
    </row>
    <row r="46" spans="6:16" ht="12.75">
      <c r="F46" s="5"/>
      <c r="G46" s="6"/>
      <c r="H46" s="6"/>
      <c r="I46" s="2"/>
      <c r="P46" s="7"/>
    </row>
    <row r="47" spans="6:16" ht="12.75">
      <c r="F47" s="5"/>
      <c r="G47" s="6"/>
      <c r="H47" s="6"/>
      <c r="I47" s="2"/>
      <c r="P47" s="7"/>
    </row>
    <row r="48" spans="6:16" ht="12.75">
      <c r="F48" s="5"/>
      <c r="G48" s="6"/>
      <c r="H48" s="6"/>
      <c r="I48" s="2"/>
      <c r="P48" s="7"/>
    </row>
    <row r="49" spans="6:16" ht="12.75">
      <c r="F49" s="5"/>
      <c r="G49" s="6"/>
      <c r="H49" s="6"/>
      <c r="I49" s="2"/>
      <c r="P49" s="7"/>
    </row>
    <row r="50" spans="6:16" ht="12.75">
      <c r="F50" s="5"/>
      <c r="G50" s="6"/>
      <c r="H50" s="6"/>
      <c r="I50" s="2"/>
      <c r="P50" s="7"/>
    </row>
    <row r="51" spans="6:16" ht="12.75">
      <c r="F51" s="5"/>
      <c r="G51" s="6"/>
      <c r="H51" s="6"/>
      <c r="I51" s="2"/>
      <c r="P51" s="7"/>
    </row>
    <row r="52" spans="6:16" ht="12.75">
      <c r="F52" s="5"/>
      <c r="G52" s="6"/>
      <c r="H52" s="6"/>
      <c r="I52" s="2"/>
      <c r="P52" s="7"/>
    </row>
    <row r="53" spans="6:16" ht="12.75">
      <c r="F53" s="5"/>
      <c r="G53" s="6"/>
      <c r="H53" s="6"/>
      <c r="I53" s="2"/>
      <c r="P53" s="7"/>
    </row>
    <row r="54" spans="6:16" ht="12.75">
      <c r="F54" s="5"/>
      <c r="G54" s="6"/>
      <c r="H54" s="6"/>
      <c r="I54" s="2"/>
      <c r="P54" s="7"/>
    </row>
    <row r="55" spans="1:16" ht="12.75">
      <c r="A55" s="1">
        <v>0.4535924</v>
      </c>
      <c r="F55" s="5"/>
      <c r="G55" s="6"/>
      <c r="H55" s="6"/>
      <c r="I55" s="2"/>
      <c r="P55" s="7"/>
    </row>
    <row r="56" spans="6:16" ht="12.75">
      <c r="F56" s="5"/>
      <c r="G56" s="6"/>
      <c r="H56" s="6"/>
      <c r="I56" s="2"/>
      <c r="P56" s="7"/>
    </row>
    <row r="57" spans="6:16" ht="12.75">
      <c r="F57" s="5"/>
      <c r="G57" s="6"/>
      <c r="H57" s="6"/>
      <c r="I57" s="2"/>
      <c r="P57" s="7"/>
    </row>
    <row r="58" spans="6:16" ht="12.75">
      <c r="F58" s="5"/>
      <c r="G58" s="6"/>
      <c r="H58" s="6"/>
      <c r="I58" s="2"/>
      <c r="P58" s="7"/>
    </row>
    <row r="59" spans="6:16" ht="12.75">
      <c r="F59" s="5"/>
      <c r="G59" s="6"/>
      <c r="H59" s="6"/>
      <c r="I59" s="2"/>
      <c r="P59" s="7"/>
    </row>
    <row r="60" spans="6:16" ht="12.75">
      <c r="F60" s="5"/>
      <c r="G60" s="6"/>
      <c r="H60" s="6"/>
      <c r="I60" s="2"/>
      <c r="P60" s="7"/>
    </row>
    <row r="61" spans="6:16" ht="12.75">
      <c r="F61" s="5"/>
      <c r="G61" s="6"/>
      <c r="H61" s="6"/>
      <c r="I61" s="2"/>
      <c r="P61" s="7"/>
    </row>
    <row r="62" spans="6:16" ht="12.75">
      <c r="F62" s="5"/>
      <c r="G62" s="6"/>
      <c r="H62" s="6"/>
      <c r="I62" s="2"/>
      <c r="P62" s="7"/>
    </row>
    <row r="63" spans="6:16" ht="12.75">
      <c r="F63" s="5"/>
      <c r="G63" s="6"/>
      <c r="H63" s="6"/>
      <c r="I63" s="2"/>
      <c r="P63" s="7"/>
    </row>
    <row r="64" spans="6:16" ht="12.75">
      <c r="F64" s="5"/>
      <c r="G64" s="6"/>
      <c r="H64" s="6"/>
      <c r="I64" s="2"/>
      <c r="P64" s="7"/>
    </row>
    <row r="65" spans="6:16" ht="12.75">
      <c r="F65" s="5"/>
      <c r="G65" s="6"/>
      <c r="H65" s="6"/>
      <c r="I65" s="2"/>
      <c r="P65" s="7"/>
    </row>
    <row r="66" spans="6:16" ht="12.75">
      <c r="F66" s="5"/>
      <c r="G66" s="6"/>
      <c r="H66" s="6"/>
      <c r="I66" s="2"/>
      <c r="P66" s="7"/>
    </row>
    <row r="67" spans="6:16" ht="12.75">
      <c r="F67" s="5"/>
      <c r="G67" s="6"/>
      <c r="H67" s="6"/>
      <c r="I67" s="2"/>
      <c r="P67" s="7"/>
    </row>
    <row r="68" spans="6:16" ht="12.75">
      <c r="F68" s="5"/>
      <c r="G68" s="6"/>
      <c r="H68" s="6"/>
      <c r="I68" s="2"/>
      <c r="P68" s="7"/>
    </row>
    <row r="69" spans="6:16" ht="12.75">
      <c r="F69" s="5"/>
      <c r="G69" s="6"/>
      <c r="H69" s="6"/>
      <c r="I69" s="2"/>
      <c r="P69" s="7"/>
    </row>
    <row r="70" spans="6:16" ht="12.75">
      <c r="F70" s="5"/>
      <c r="G70" s="6"/>
      <c r="H70" s="6"/>
      <c r="I70" s="2"/>
      <c r="P70" s="7"/>
    </row>
    <row r="71" spans="6:16" ht="12.75">
      <c r="F71" s="5"/>
      <c r="G71" s="6"/>
      <c r="H71" s="6"/>
      <c r="I71" s="2"/>
      <c r="P71" s="7"/>
    </row>
    <row r="72" spans="6:16" ht="12.75">
      <c r="F72" s="5"/>
      <c r="G72" s="6"/>
      <c r="H72" s="6"/>
      <c r="I72" s="2"/>
      <c r="P72" s="7"/>
    </row>
    <row r="73" spans="6:16" ht="12.75">
      <c r="F73" s="5"/>
      <c r="G73" s="6"/>
      <c r="H73" s="6"/>
      <c r="I73" s="2"/>
      <c r="P73" s="7"/>
    </row>
    <row r="74" spans="6:16" ht="12.75">
      <c r="F74" s="5"/>
      <c r="G74" s="6"/>
      <c r="H74" s="6"/>
      <c r="I74" s="2"/>
      <c r="P74" s="7"/>
    </row>
    <row r="75" spans="6:16" ht="12.75">
      <c r="F75" s="5"/>
      <c r="G75" s="6"/>
      <c r="H75" s="6"/>
      <c r="I75" s="2"/>
      <c r="P75" s="7"/>
    </row>
    <row r="76" spans="6:16" ht="12.75">
      <c r="F76" s="5"/>
      <c r="G76" s="6"/>
      <c r="H76" s="6"/>
      <c r="I76" s="2"/>
      <c r="P76" s="7"/>
    </row>
    <row r="77" spans="6:16" ht="12.75">
      <c r="F77" s="5"/>
      <c r="G77" s="6"/>
      <c r="H77" s="6"/>
      <c r="I77" s="2"/>
      <c r="P77" s="7"/>
    </row>
    <row r="78" spans="6:16" ht="12.75">
      <c r="F78" s="5"/>
      <c r="G78" s="6"/>
      <c r="H78" s="6"/>
      <c r="I78" s="2"/>
      <c r="P78" s="7"/>
    </row>
    <row r="79" spans="6:16" ht="12.75">
      <c r="F79" s="5"/>
      <c r="G79" s="6"/>
      <c r="H79" s="6"/>
      <c r="I79" s="2"/>
      <c r="P79" s="7"/>
    </row>
    <row r="80" spans="6:16" ht="12.75">
      <c r="F80" s="5"/>
      <c r="G80" s="6"/>
      <c r="H80" s="6"/>
      <c r="I80" s="2"/>
      <c r="P80" s="7"/>
    </row>
    <row r="81" spans="6:16" ht="12.75">
      <c r="F81" s="5"/>
      <c r="G81" s="6"/>
      <c r="H81" s="6"/>
      <c r="I81" s="2"/>
      <c r="P81" s="7"/>
    </row>
    <row r="82" spans="6:16" ht="12.75">
      <c r="F82" s="5"/>
      <c r="G82" s="6"/>
      <c r="H82" s="6"/>
      <c r="I82" s="2"/>
      <c r="P82" s="7"/>
    </row>
    <row r="83" spans="6:16" ht="12.75">
      <c r="F83" s="5"/>
      <c r="G83" s="6"/>
      <c r="H83" s="6"/>
      <c r="I83" s="2"/>
      <c r="P83" s="7"/>
    </row>
    <row r="84" spans="6:16" ht="12.75">
      <c r="F84" s="5"/>
      <c r="G84" s="6"/>
      <c r="H84" s="6"/>
      <c r="I84" s="2"/>
      <c r="P84" s="7"/>
    </row>
    <row r="85" spans="6:16" ht="12.75">
      <c r="F85" s="5"/>
      <c r="G85" s="6"/>
      <c r="H85" s="6"/>
      <c r="I85" s="2"/>
      <c r="P85" s="7"/>
    </row>
    <row r="86" spans="6:16" ht="12.75">
      <c r="F86" s="5"/>
      <c r="G86" s="6"/>
      <c r="H86" s="6"/>
      <c r="I86" s="2"/>
      <c r="P86" s="7"/>
    </row>
    <row r="87" spans="6:16" ht="12.75">
      <c r="F87" s="5"/>
      <c r="G87" s="6"/>
      <c r="H87" s="6"/>
      <c r="I87" s="2"/>
      <c r="P87" s="7"/>
    </row>
    <row r="88" spans="6:16" ht="12.75">
      <c r="F88" s="5"/>
      <c r="G88" s="6"/>
      <c r="H88" s="6"/>
      <c r="I88" s="2"/>
      <c r="P88" s="7"/>
    </row>
    <row r="89" spans="6:16" ht="12.75">
      <c r="F89" s="5"/>
      <c r="G89" s="6"/>
      <c r="H89" s="6"/>
      <c r="I89" s="2"/>
      <c r="P89" s="7"/>
    </row>
    <row r="90" spans="1:2" ht="12.75" customHeight="1">
      <c r="A90">
        <v>52</v>
      </c>
      <c r="B90">
        <v>1500</v>
      </c>
    </row>
    <row r="91" spans="1:2" ht="12.75" customHeight="1">
      <c r="A91">
        <v>68</v>
      </c>
      <c r="B91">
        <v>1950</v>
      </c>
    </row>
    <row r="92" spans="1:2" ht="12.75" customHeight="1">
      <c r="A92">
        <v>99</v>
      </c>
      <c r="B92">
        <v>2550</v>
      </c>
    </row>
    <row r="93" spans="1:2" ht="12.75" customHeight="1">
      <c r="A93">
        <v>121</v>
      </c>
      <c r="B93">
        <v>2550</v>
      </c>
    </row>
    <row r="94" spans="1:2" ht="12.75">
      <c r="A94">
        <v>70</v>
      </c>
      <c r="B94">
        <v>1500</v>
      </c>
    </row>
  </sheetData>
  <sheetProtection selectLockedCells="1"/>
  <protectedRanges>
    <protectedRange sqref="B6:D6" name="Omr?de1"/>
    <protectedRange sqref="B12:B13" name="Omr?de2"/>
    <protectedRange sqref="F14:F18" name="Omr?de3"/>
    <protectedRange sqref="D21" name="Omr?de4"/>
    <protectedRange sqref="G11:H18" name="Omr?de5"/>
  </protectedRanges>
  <mergeCells count="4">
    <mergeCell ref="A2:P2"/>
    <mergeCell ref="A4:P4"/>
    <mergeCell ref="B6:D6"/>
    <mergeCell ref="G6:H6"/>
  </mergeCells>
  <printOptions/>
  <pageMargins left="0.5" right="0.5" top="0.5" bottom="1" header="0.5" footer="0.5"/>
  <pageSetup fitToHeight="1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2.28125" style="0" customWidth="1"/>
  </cols>
  <sheetData>
    <row r="1" spans="1:6" ht="27">
      <c r="A1" s="145" t="s">
        <v>28</v>
      </c>
      <c r="B1" s="146"/>
      <c r="C1" s="146"/>
      <c r="D1" s="146"/>
      <c r="E1" s="146"/>
      <c r="F1" s="147"/>
    </row>
    <row r="2" spans="1:6" ht="12.75">
      <c r="A2" s="148" t="s">
        <v>29</v>
      </c>
      <c r="B2" s="149"/>
      <c r="C2" s="149"/>
      <c r="D2" s="149"/>
      <c r="E2" s="149"/>
      <c r="F2" s="150"/>
    </row>
    <row r="3" spans="1:6" ht="12.75">
      <c r="A3" s="122"/>
      <c r="B3" s="123"/>
      <c r="C3" s="123"/>
      <c r="D3" s="123"/>
      <c r="E3" s="123"/>
      <c r="F3" s="124"/>
    </row>
    <row r="4" spans="1:6" ht="12.75">
      <c r="A4" s="125" t="s">
        <v>30</v>
      </c>
      <c r="B4" s="126"/>
      <c r="C4" s="126"/>
      <c r="D4" s="126"/>
      <c r="E4" s="126"/>
      <c r="F4" s="127"/>
    </row>
    <row r="5" spans="1:6" ht="12.75">
      <c r="A5" s="125" t="s">
        <v>31</v>
      </c>
      <c r="B5" s="126"/>
      <c r="C5" s="126"/>
      <c r="D5" s="126"/>
      <c r="E5" s="126"/>
      <c r="F5" s="127"/>
    </row>
    <row r="6" spans="1:6" ht="12.75">
      <c r="A6" s="125" t="s">
        <v>32</v>
      </c>
      <c r="B6" s="126"/>
      <c r="C6" s="126"/>
      <c r="D6" s="126"/>
      <c r="E6" s="126"/>
      <c r="F6" s="127"/>
    </row>
    <row r="7" spans="1:6" ht="12.75">
      <c r="A7" s="128" t="s">
        <v>33</v>
      </c>
      <c r="B7" s="129"/>
      <c r="C7" s="129"/>
      <c r="D7" s="129"/>
      <c r="E7" s="129"/>
      <c r="F7" s="130"/>
    </row>
    <row r="8" spans="1:6" ht="12.75">
      <c r="A8" s="122"/>
      <c r="B8" s="123"/>
      <c r="C8" s="123"/>
      <c r="D8" s="123"/>
      <c r="E8" s="123"/>
      <c r="F8" s="124"/>
    </row>
    <row r="9" spans="1:6" ht="13.5" thickBot="1">
      <c r="A9" s="131"/>
      <c r="B9" s="132"/>
      <c r="C9" s="132"/>
      <c r="D9" s="132"/>
      <c r="E9" s="132"/>
      <c r="F9" s="133"/>
    </row>
    <row r="10" spans="1:6" ht="21" thickBot="1">
      <c r="A10" s="151" t="s">
        <v>34</v>
      </c>
      <c r="B10" s="152"/>
      <c r="C10" s="152"/>
      <c r="D10" s="152"/>
      <c r="E10" s="152"/>
      <c r="F10" s="153"/>
    </row>
    <row r="11" spans="1:6" ht="12.75">
      <c r="A11" s="68"/>
      <c r="B11" s="69"/>
      <c r="C11" s="69"/>
      <c r="D11" s="69"/>
      <c r="E11" s="69"/>
      <c r="F11" s="70"/>
    </row>
    <row r="12" spans="1:6" ht="12.75">
      <c r="A12" s="71" t="s">
        <v>35</v>
      </c>
      <c r="B12" s="72"/>
      <c r="C12" s="72"/>
      <c r="D12" s="72"/>
      <c r="E12" s="73">
        <v>293</v>
      </c>
      <c r="F12" s="74" t="s">
        <v>36</v>
      </c>
    </row>
    <row r="13" spans="1:6" ht="12.75">
      <c r="A13" s="75" t="s">
        <v>37</v>
      </c>
      <c r="B13" s="76"/>
      <c r="C13" s="76"/>
      <c r="D13" s="76"/>
      <c r="E13" s="73">
        <v>0</v>
      </c>
      <c r="F13" s="77" t="s">
        <v>36</v>
      </c>
    </row>
    <row r="14" spans="1:6" ht="15.75">
      <c r="A14" s="78" t="s">
        <v>38</v>
      </c>
      <c r="B14" s="79"/>
      <c r="C14" s="79"/>
      <c r="D14" s="79"/>
      <c r="E14" s="79">
        <f>+E12+E13</f>
        <v>293</v>
      </c>
      <c r="F14" s="80" t="s">
        <v>36</v>
      </c>
    </row>
    <row r="15" spans="1:6" ht="12.75">
      <c r="A15" s="71"/>
      <c r="B15" s="72"/>
      <c r="C15" s="72"/>
      <c r="D15" s="72"/>
      <c r="E15" s="72"/>
      <c r="F15" s="74"/>
    </row>
    <row r="16" spans="1:6" ht="12.75">
      <c r="A16" s="81" t="s">
        <v>39</v>
      </c>
      <c r="B16" s="72"/>
      <c r="C16" s="72"/>
      <c r="D16" s="72" t="s">
        <v>40</v>
      </c>
      <c r="E16" s="72"/>
      <c r="F16" s="74"/>
    </row>
    <row r="17" spans="1:6" ht="12.75">
      <c r="A17" s="71" t="s">
        <v>41</v>
      </c>
      <c r="B17" s="82">
        <v>150</v>
      </c>
      <c r="C17" s="72" t="s">
        <v>42</v>
      </c>
      <c r="D17" s="83">
        <v>0.01</v>
      </c>
      <c r="E17" s="84">
        <f>+(B17*D17)*E14/100</f>
        <v>4.395</v>
      </c>
      <c r="F17" s="74" t="s">
        <v>36</v>
      </c>
    </row>
    <row r="18" spans="1:6" ht="12.75">
      <c r="A18" s="71" t="s">
        <v>43</v>
      </c>
      <c r="B18" s="82">
        <v>25</v>
      </c>
      <c r="C18" s="72" t="s">
        <v>44</v>
      </c>
      <c r="D18" s="83">
        <v>0.01</v>
      </c>
      <c r="E18" s="84">
        <f>+(B18-15)*E14/100</f>
        <v>29.3</v>
      </c>
      <c r="F18" s="74" t="s">
        <v>36</v>
      </c>
    </row>
    <row r="19" spans="1:6" ht="12.75">
      <c r="A19" s="71" t="s">
        <v>45</v>
      </c>
      <c r="B19" s="82">
        <v>3</v>
      </c>
      <c r="C19" s="72" t="s">
        <v>46</v>
      </c>
      <c r="D19" s="83">
        <v>0.05</v>
      </c>
      <c r="E19" s="84">
        <f>+E14*D19*B19</f>
        <v>43.95</v>
      </c>
      <c r="F19" s="74" t="s">
        <v>36</v>
      </c>
    </row>
    <row r="20" spans="1:6" ht="12.75">
      <c r="A20" s="71" t="s">
        <v>47</v>
      </c>
      <c r="B20" s="85"/>
      <c r="C20" s="72"/>
      <c r="D20" s="86">
        <v>0.1</v>
      </c>
      <c r="E20" s="84">
        <f>IF(B20="x",D20*$E$14,0)</f>
        <v>0</v>
      </c>
      <c r="F20" s="74" t="s">
        <v>36</v>
      </c>
    </row>
    <row r="21" spans="1:6" ht="12.75">
      <c r="A21" s="71" t="s">
        <v>48</v>
      </c>
      <c r="B21" s="85"/>
      <c r="C21" s="72"/>
      <c r="D21" s="86">
        <v>0.2</v>
      </c>
      <c r="E21" s="84">
        <f>IF(B21="x",D21*$E$14,0)</f>
        <v>0</v>
      </c>
      <c r="F21" s="74" t="s">
        <v>36</v>
      </c>
    </row>
    <row r="22" spans="1:6" ht="12.75">
      <c r="A22" s="71" t="s">
        <v>49</v>
      </c>
      <c r="B22" s="85" t="s">
        <v>73</v>
      </c>
      <c r="C22" s="72"/>
      <c r="D22" s="86">
        <v>0.3</v>
      </c>
      <c r="E22" s="84">
        <f>IF(B22="x",D22*$E$14,0)</f>
        <v>0</v>
      </c>
      <c r="F22" s="74" t="s">
        <v>36</v>
      </c>
    </row>
    <row r="23" spans="1:6" ht="12.75">
      <c r="A23" s="71" t="s">
        <v>50</v>
      </c>
      <c r="B23" s="85"/>
      <c r="C23" s="72"/>
      <c r="D23" s="86">
        <v>0.25</v>
      </c>
      <c r="E23" s="84">
        <f>IF(B23="x",D23*$E$14,0)</f>
        <v>0</v>
      </c>
      <c r="F23" s="74" t="s">
        <v>36</v>
      </c>
    </row>
    <row r="24" spans="1:6" ht="12.75">
      <c r="A24" s="71"/>
      <c r="B24" s="72"/>
      <c r="C24" s="72"/>
      <c r="D24" s="72"/>
      <c r="E24" s="72"/>
      <c r="F24" s="74"/>
    </row>
    <row r="25" spans="1:6" ht="12.75">
      <c r="A25" s="71" t="s">
        <v>51</v>
      </c>
      <c r="B25" s="72"/>
      <c r="C25" s="72"/>
      <c r="D25" s="86">
        <v>0.25</v>
      </c>
      <c r="E25" s="84">
        <f>+E14*D25</f>
        <v>73.25</v>
      </c>
      <c r="F25" s="74" t="s">
        <v>36</v>
      </c>
    </row>
    <row r="26" spans="1:6" ht="12.75">
      <c r="A26" s="71"/>
      <c r="B26" s="72"/>
      <c r="C26" s="72"/>
      <c r="D26" s="72"/>
      <c r="E26" s="72"/>
      <c r="F26" s="74"/>
    </row>
    <row r="27" spans="1:6" ht="13.5" thickBot="1">
      <c r="A27" s="71" t="s">
        <v>52</v>
      </c>
      <c r="B27" s="72"/>
      <c r="C27" s="72"/>
      <c r="D27" s="72"/>
      <c r="E27" s="87">
        <v>0</v>
      </c>
      <c r="F27" s="74" t="s">
        <v>36</v>
      </c>
    </row>
    <row r="28" spans="1:6" ht="18.75" thickBot="1">
      <c r="A28" s="88" t="s">
        <v>53</v>
      </c>
      <c r="B28" s="89"/>
      <c r="C28" s="89"/>
      <c r="D28" s="89"/>
      <c r="E28" s="89">
        <f>SUM(E14:E27)</f>
        <v>443.895</v>
      </c>
      <c r="F28" s="90" t="s">
        <v>36</v>
      </c>
    </row>
    <row r="29" spans="1:6" ht="13.5" thickBot="1">
      <c r="A29" s="67"/>
      <c r="B29" s="67"/>
      <c r="C29" s="67"/>
      <c r="D29" s="67"/>
      <c r="E29" s="67"/>
      <c r="F29" s="67"/>
    </row>
    <row r="30" spans="1:6" ht="21" thickBot="1">
      <c r="A30" s="154" t="s">
        <v>54</v>
      </c>
      <c r="B30" s="155"/>
      <c r="C30" s="155"/>
      <c r="D30" s="155"/>
      <c r="E30" s="155"/>
      <c r="F30" s="156"/>
    </row>
    <row r="31" spans="1:6" ht="12.75">
      <c r="A31" s="91"/>
      <c r="B31" s="92"/>
      <c r="C31" s="92"/>
      <c r="D31" s="92"/>
      <c r="E31" s="92"/>
      <c r="F31" s="93"/>
    </row>
    <row r="32" spans="1:6" ht="12.75">
      <c r="A32" s="94" t="s">
        <v>55</v>
      </c>
      <c r="B32" s="95"/>
      <c r="C32" s="95"/>
      <c r="D32" s="95"/>
      <c r="E32" s="73">
        <v>176</v>
      </c>
      <c r="F32" s="96" t="s">
        <v>36</v>
      </c>
    </row>
    <row r="33" spans="1:6" ht="12.75">
      <c r="A33" s="97" t="s">
        <v>56</v>
      </c>
      <c r="B33" s="98"/>
      <c r="C33" s="98"/>
      <c r="D33" s="98"/>
      <c r="E33" s="73">
        <v>0</v>
      </c>
      <c r="F33" s="99" t="s">
        <v>36</v>
      </c>
    </row>
    <row r="34" spans="1:6" ht="15.75">
      <c r="A34" s="100" t="s">
        <v>38</v>
      </c>
      <c r="B34" s="101"/>
      <c r="C34" s="101"/>
      <c r="D34" s="101"/>
      <c r="E34" s="101">
        <f>+E32+E33</f>
        <v>176</v>
      </c>
      <c r="F34" s="102" t="s">
        <v>36</v>
      </c>
    </row>
    <row r="35" spans="1:6" ht="12.75">
      <c r="A35" s="94"/>
      <c r="B35" s="95"/>
      <c r="C35" s="95"/>
      <c r="D35" s="95"/>
      <c r="E35" s="95"/>
      <c r="F35" s="96"/>
    </row>
    <row r="36" spans="1:6" ht="12.75">
      <c r="A36" s="103" t="s">
        <v>39</v>
      </c>
      <c r="B36" s="95"/>
      <c r="C36" s="95"/>
      <c r="D36" s="95" t="s">
        <v>40</v>
      </c>
      <c r="E36" s="95"/>
      <c r="F36" s="96"/>
    </row>
    <row r="37" spans="1:6" ht="12.75">
      <c r="A37" s="94" t="s">
        <v>41</v>
      </c>
      <c r="B37" s="82">
        <v>150</v>
      </c>
      <c r="C37" s="95" t="s">
        <v>42</v>
      </c>
      <c r="D37" s="104">
        <v>0.005</v>
      </c>
      <c r="E37" s="105">
        <f>+(B37*D37)*E34/100</f>
        <v>1.32</v>
      </c>
      <c r="F37" s="96" t="s">
        <v>36</v>
      </c>
    </row>
    <row r="38" spans="1:6" ht="12.75">
      <c r="A38" s="94" t="s">
        <v>43</v>
      </c>
      <c r="B38" s="82">
        <v>15</v>
      </c>
      <c r="C38" s="95" t="s">
        <v>44</v>
      </c>
      <c r="D38" s="104">
        <v>0.005</v>
      </c>
      <c r="E38" s="105">
        <f>+(B38-15)*E34/100</f>
        <v>0</v>
      </c>
      <c r="F38" s="96" t="s">
        <v>36</v>
      </c>
    </row>
    <row r="39" spans="1:6" ht="12.75">
      <c r="A39" s="94" t="s">
        <v>45</v>
      </c>
      <c r="B39" s="82">
        <v>3</v>
      </c>
      <c r="C39" s="95" t="s">
        <v>46</v>
      </c>
      <c r="D39" s="104">
        <v>-0.05</v>
      </c>
      <c r="E39" s="105">
        <f>+E34*D39*B39</f>
        <v>-26.400000000000002</v>
      </c>
      <c r="F39" s="96" t="s">
        <v>36</v>
      </c>
    </row>
    <row r="40" spans="1:6" ht="12.75">
      <c r="A40" s="94" t="s">
        <v>57</v>
      </c>
      <c r="B40" s="85"/>
      <c r="C40" s="95"/>
      <c r="D40" s="106">
        <v>0.1</v>
      </c>
      <c r="E40" s="105">
        <f>IF(B40="x",D40*$E$34,0)</f>
        <v>0</v>
      </c>
      <c r="F40" s="96" t="s">
        <v>36</v>
      </c>
    </row>
    <row r="41" spans="1:6" ht="12.75">
      <c r="A41" s="94" t="s">
        <v>48</v>
      </c>
      <c r="B41" s="85"/>
      <c r="C41" s="95"/>
      <c r="D41" s="106">
        <v>0.2</v>
      </c>
      <c r="E41" s="105">
        <f>IF(B41="x",D41*$E$34,0)</f>
        <v>0</v>
      </c>
      <c r="F41" s="96" t="s">
        <v>36</v>
      </c>
    </row>
    <row r="42" spans="1:6" ht="12.75">
      <c r="A42" s="94" t="s">
        <v>58</v>
      </c>
      <c r="B42" s="85" t="s">
        <v>71</v>
      </c>
      <c r="C42" s="95"/>
      <c r="D42" s="106">
        <v>0.3</v>
      </c>
      <c r="E42" s="105">
        <f>IF(B42="x",D42*$E$34,0)</f>
        <v>52.8</v>
      </c>
      <c r="F42" s="96" t="s">
        <v>36</v>
      </c>
    </row>
    <row r="43" spans="1:6" ht="12.75">
      <c r="A43" s="94" t="s">
        <v>59</v>
      </c>
      <c r="B43" s="85"/>
      <c r="C43" s="95"/>
      <c r="D43" s="106">
        <v>0.25</v>
      </c>
      <c r="E43" s="105">
        <f>IF(B43="x",D43*$E$34,0)</f>
        <v>0</v>
      </c>
      <c r="F43" s="96" t="s">
        <v>36</v>
      </c>
    </row>
    <row r="44" spans="1:6" ht="12.75">
      <c r="A44" s="94"/>
      <c r="B44" s="95"/>
      <c r="C44" s="95"/>
      <c r="D44" s="95"/>
      <c r="E44" s="95"/>
      <c r="F44" s="96"/>
    </row>
    <row r="45" spans="1:6" ht="12.75">
      <c r="A45" s="94" t="s">
        <v>51</v>
      </c>
      <c r="B45" s="95"/>
      <c r="C45" s="95"/>
      <c r="D45" s="106">
        <v>0.25</v>
      </c>
      <c r="E45" s="105">
        <f>+E34*D45</f>
        <v>44</v>
      </c>
      <c r="F45" s="96" t="s">
        <v>36</v>
      </c>
    </row>
    <row r="46" spans="1:6" ht="12.75">
      <c r="A46" s="94"/>
      <c r="B46" s="95"/>
      <c r="C46" s="95"/>
      <c r="D46" s="95"/>
      <c r="E46" s="95"/>
      <c r="F46" s="96"/>
    </row>
    <row r="47" spans="1:6" ht="13.5" thickBot="1">
      <c r="A47" s="94" t="s">
        <v>52</v>
      </c>
      <c r="B47" s="95"/>
      <c r="C47" s="95"/>
      <c r="D47" s="95"/>
      <c r="E47" s="87">
        <v>0</v>
      </c>
      <c r="F47" s="96" t="s">
        <v>36</v>
      </c>
    </row>
    <row r="48" spans="1:6" ht="18.75" thickBot="1">
      <c r="A48" s="107" t="s">
        <v>54</v>
      </c>
      <c r="B48" s="108"/>
      <c r="C48" s="108"/>
      <c r="D48" s="108"/>
      <c r="E48" s="108">
        <f>SUM(E34:E47)</f>
        <v>247.71999999999997</v>
      </c>
      <c r="F48" s="109" t="s">
        <v>36</v>
      </c>
    </row>
    <row r="49" spans="1:6" ht="13.5" thickBot="1">
      <c r="A49" s="67"/>
      <c r="B49" s="67"/>
      <c r="C49" s="67"/>
      <c r="D49" s="67"/>
      <c r="E49" s="67"/>
      <c r="F49" s="67"/>
    </row>
    <row r="50" spans="1:6" ht="23.25">
      <c r="A50" s="142" t="s">
        <v>60</v>
      </c>
      <c r="B50" s="143"/>
      <c r="C50" s="143"/>
      <c r="D50" s="144"/>
      <c r="E50" s="67"/>
      <c r="F50" s="67"/>
    </row>
    <row r="51" spans="1:6" ht="12.75">
      <c r="A51" s="110"/>
      <c r="B51" s="111" t="s">
        <v>61</v>
      </c>
      <c r="C51" s="111" t="s">
        <v>62</v>
      </c>
      <c r="D51" s="112"/>
      <c r="E51" s="67"/>
      <c r="F51" s="67"/>
    </row>
    <row r="52" spans="1:6" ht="12.75">
      <c r="A52" s="113" t="s">
        <v>63</v>
      </c>
      <c r="B52" s="114">
        <v>575</v>
      </c>
      <c r="C52" s="115">
        <f>B52*0.305</f>
        <v>175.375</v>
      </c>
      <c r="D52" s="116" t="s">
        <v>64</v>
      </c>
      <c r="E52" s="67"/>
      <c r="F52" s="67"/>
    </row>
    <row r="53" spans="1:6" ht="12.75">
      <c r="A53" s="113" t="s">
        <v>65</v>
      </c>
      <c r="B53" s="114"/>
      <c r="C53" s="117">
        <f>B53*3.279</f>
        <v>0</v>
      </c>
      <c r="D53" s="116" t="s">
        <v>66</v>
      </c>
      <c r="E53" s="67"/>
      <c r="F53" s="67"/>
    </row>
    <row r="54" spans="1:6" ht="12.75">
      <c r="A54" s="113" t="s">
        <v>67</v>
      </c>
      <c r="B54" s="114"/>
      <c r="C54" s="118">
        <f>B54*0.453592</f>
        <v>0</v>
      </c>
      <c r="D54" s="116" t="s">
        <v>68</v>
      </c>
      <c r="E54" s="67"/>
      <c r="F54" s="67"/>
    </row>
    <row r="55" spans="1:6" ht="13.5" thickBot="1">
      <c r="A55" s="119" t="s">
        <v>69</v>
      </c>
      <c r="B55" s="114"/>
      <c r="C55" s="120">
        <f>B55*2.204624</f>
        <v>0</v>
      </c>
      <c r="D55" s="121" t="s">
        <v>70</v>
      </c>
      <c r="E55" s="67"/>
      <c r="F55" s="67"/>
    </row>
  </sheetData>
  <sheetProtection/>
  <mergeCells count="5">
    <mergeCell ref="A50:D50"/>
    <mergeCell ref="A1:F1"/>
    <mergeCell ref="A2:F2"/>
    <mergeCell ref="A10:F10"/>
    <mergeCell ref="A30:F3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 R. Fay</dc:creator>
  <cp:keywords/>
  <dc:description/>
  <cp:lastModifiedBy>Peter m. Henningsen</cp:lastModifiedBy>
  <cp:lastPrinted>2008-05-31T08:18:34Z</cp:lastPrinted>
  <dcterms:created xsi:type="dcterms:W3CDTF">1999-03-03T15:15:39Z</dcterms:created>
  <dcterms:modified xsi:type="dcterms:W3CDTF">2008-06-08T19:46:07Z</dcterms:modified>
  <cp:category/>
  <cp:version/>
  <cp:contentType/>
  <cp:contentStatus/>
</cp:coreProperties>
</file>